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<sst xmlns="http://schemas.openxmlformats.org/spreadsheetml/2006/main" count="1219" uniqueCount="248">
  <si>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</si>
  <si>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</si>
  <si>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</si>
  <si>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</si>
  <si>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</si>
  <si>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</si>
  <si>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</si>
  <si>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</si>
  <si>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</si>
  <si>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</si>
  <si>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</si>
  <si>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</si>
  <si>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</si>
  <si>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</si>
  <si>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</si>
  <si>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</si>
  <si>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</si>
  <si>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</si>
  <si>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</si>
  <si>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</si>
  <si>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</si>
  <si>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</si>
  <si>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</si>
  <si>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</si>
  <si>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</si>
  <si>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</si>
  <si>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</si>
  <si>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</si>
  <si>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</si>
  <si>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</si>
  <si>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</si>
  <si>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</si>
  <si>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</si>
  <si>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</si>
  <si>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</si>
  <si>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</si>
  <si>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</si>
  <si>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</si>
  <si>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</si>
  <si>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</si>
  <si>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</si>
  <si>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</si>
  <si>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</si>
  <si>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</si>
  <si>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</si>
  <si>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</si>
  <si>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</si>
  <si>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</si>
  <si>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</si>
  <si>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</si>
  <si>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</si>
  <si>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</si>
  <si>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</si>
  <si>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</si>
  <si>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</si>
  <si>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</si>
  <si>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</si>
  <si>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</si>
  <si>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</si>
  <si>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</si>
  <si>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</si>
  <si>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</si>
  <si>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</si>
  <si>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</si>
  <si>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</si>
  <si>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</si>
  <si>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</si>
  <si>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</si>
  <si>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</si>
  <si>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</si>
  <si>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</si>
  <si>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</si>
  <si>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</si>
  <si>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</si>
  <si>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</si>
  <si>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</si>
  <si>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</si>
  <si>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</si>
  <si>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</si>
  <si>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</si>
  <si>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</si>
  <si>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</si>
  <si>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</si>
  <si>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</si>
  <si>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</si>
  <si>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</si>
  <si>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</si>
  <si>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</si>
  <si>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</si>
  <si>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</si>
  <si>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</si>
  <si>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</si>
  <si>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</si>
  <si>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</si>
  <si>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</si>
  <si>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</si>
  <si>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</si>
  <si>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</si>
  <si>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</si>
  <si>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</si>
  <si>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</si>
  <si>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</si>
  <si>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</si>
  <si>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</si>
  <si>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</si>
  <si>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</si>
  <si>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</si>
  <si>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</si>
  <si>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</si>
  <si>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</si>
  <si>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</si>
  <si>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</si>
  <si>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</si>
  <si>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</si>
  <si>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</si>
  <si>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</si>
  <si>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</si>
  <si>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</si>
  <si>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</si>
  <si>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</si>
  <si>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</si>
  <si>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</si>
  <si>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</si>
  <si>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</si>
  <si>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</si>
  <si>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</si>
  <si>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</si>
  <si>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</si>
  <si>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</si>
  <si>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</si>
  <si>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</si>
  <si>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</si>
  <si>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</si>
  <si>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</si>
  <si>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</si>
  <si>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</si>
  <si>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</si>
  <si>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</si>
  <si>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</si>
  <si>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</si>
  <si>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</si>
  <si>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</si>
  <si>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</si>
  <si>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</si>
  <si>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</si>
  <si>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</si>
  <si>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</si>
  <si>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</si>
  <si>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</si>
  <si>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</si>
  <si>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</si>
  <si>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</si>
  <si>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</si>
  <si>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</si>
  <si>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</si>
  <si>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</si>
  <si>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</si>
  <si>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</si>
  <si>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</si>
  <si>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</si>
  <si>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</si>
  <si>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</si>
  <si>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</si>
  <si>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</si>
  <si>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</si>
  <si>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</si>
  <si>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</si>
  <si>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</si>
  <si>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</si>
  <si>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</si>
  <si>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</si>
  <si>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</si>
  <si>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</si>
  <si>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</si>
  <si>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</si>
  <si>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</si>
  <si>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</si>
  <si>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</si>
  <si>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</si>
  <si>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</si>
  <si>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</si>
  <si>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</si>
  <si>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</si>
  <si>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</si>
  <si>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</si>
  <si>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</si>
  <si>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</si>
  <si>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</si>
  <si>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</si>
  <si>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</si>
  <si>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</si>
  <si>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</si>
  <si>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</si>
  <si>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</si>
  <si>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</si>
  <si>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</si>
  <si>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</si>
  <si>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</si>
  <si>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</si>
  <si>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</si>
  <si>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</si>
  <si>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</si>
  <si>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</si>
  <si>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</si>
  <si>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</si>
  <si>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</si>
  <si>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</si>
  <si>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</si>
  <si>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</si>
  <si>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</si>
  <si>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</si>
  <si>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</si>
  <si>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</si>
  <si>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</si>
  <si>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</si>
  <si>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</si>
  <si>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</si>
  <si>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</si>
  <si>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</si>
  <si>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</si>
  <si>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</si>
  <si>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</si>
  <si>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</si>
  <si>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</si>
  <si>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</si>
  <si>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</si>
  <si>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</si>
  <si>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</si>
  <si>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</si>
  <si>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</si>
  <si>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</si>
  <si>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</si>
  <si>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</si>
  <si>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</si>
  <si>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</si>
  <si>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</si>
  <si>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</si>
  <si>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</si>
  <si>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</si>
  <si>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</si>
  <si>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</si>
  <si>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</si>
  <si>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</si>
  <si>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</si>
  <si>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</si>
  <si>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</si>
  <si>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</si>
  <si>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26.06.14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</si>
</sst>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пень"/>
    </sheetNames>
    <sheetDataSet>
      <sheetData sheetId="12">
        <row r="6">
          <cell r="G6">
            <v>117803463.7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103978241.74000001</v>
          </cell>
        </row>
      </sheetData>
      <sheetData sheetId="13">
        <row r="52">
          <cell r="B52">
            <v>46853758.849999994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8" sqref="E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220222.20000000004</v>
      </c>
      <c r="G8" s="22">
        <f aca="true" t="shared" si="0" ref="G8:G30">F8-E8</f>
        <v>-13044.329999999958</v>
      </c>
      <c r="H8" s="51">
        <f>F8/E8*100</f>
        <v>94.40797185948625</v>
      </c>
      <c r="I8" s="36">
        <f aca="true" t="shared" si="1" ref="I8:I17">F8-D8</f>
        <v>-268254.1</v>
      </c>
      <c r="J8" s="36">
        <f aca="true" t="shared" si="2" ref="J8:J14">F8/D8*100</f>
        <v>45.08349739792904</v>
      </c>
      <c r="K8" s="36">
        <f>F8-227938.8</f>
        <v>-7716.599999999948</v>
      </c>
      <c r="L8" s="136">
        <f>F8/227938.8</f>
        <v>0.9661461760788425</v>
      </c>
      <c r="M8" s="22">
        <f>M10+M19+M33+M56+M68+M30</f>
        <v>41595.47</v>
      </c>
      <c r="N8" s="22">
        <f>N10+N19+N33+N56+N68+N30</f>
        <v>35417.00000000002</v>
      </c>
      <c r="O8" s="36">
        <f aca="true" t="shared" si="3" ref="O8:O71">N8-M8</f>
        <v>-6178.469999999979</v>
      </c>
      <c r="P8" s="36">
        <f>F8/M8*100</f>
        <v>529.4379411988855</v>
      </c>
      <c r="Q8" s="36">
        <f>N8-40804</f>
        <v>-5386.999999999978</v>
      </c>
      <c r="R8" s="134">
        <f>N8/40804</f>
        <v>0.8679786295461235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178602.2</v>
      </c>
      <c r="G9" s="22">
        <f t="shared" si="0"/>
        <v>178602.2</v>
      </c>
      <c r="H9" s="20"/>
      <c r="I9" s="56">
        <f t="shared" si="1"/>
        <v>-208411</v>
      </c>
      <c r="J9" s="56">
        <f t="shared" si="2"/>
        <v>46.14886520666479</v>
      </c>
      <c r="K9" s="56"/>
      <c r="L9" s="135"/>
      <c r="M9" s="20">
        <f>M10+M17</f>
        <v>34434.5</v>
      </c>
      <c r="N9" s="20">
        <f>N10+N17</f>
        <v>29842.050000000017</v>
      </c>
      <c r="O9" s="36">
        <f t="shared" si="3"/>
        <v>-4592.4499999999825</v>
      </c>
      <c r="P9" s="56">
        <f>F9/M9*100</f>
        <v>518.6722618304318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178602.2</v>
      </c>
      <c r="G10" s="49">
        <f t="shared" si="0"/>
        <v>-11944.099999999977</v>
      </c>
      <c r="H10" s="40">
        <f aca="true" t="shared" si="4" ref="H10:H17">F10/E10*100</f>
        <v>93.7316547211885</v>
      </c>
      <c r="I10" s="56">
        <f t="shared" si="1"/>
        <v>-208411</v>
      </c>
      <c r="J10" s="56">
        <f t="shared" si="2"/>
        <v>46.14886520666479</v>
      </c>
      <c r="K10" s="141">
        <f>F10-179133.7</f>
        <v>-531.5</v>
      </c>
      <c r="L10" s="142">
        <f>F10/179133.7</f>
        <v>0.9970329424335008</v>
      </c>
      <c r="M10" s="40">
        <f>E10-травень!E10</f>
        <v>34434.5</v>
      </c>
      <c r="N10" s="40">
        <f>F10-травень!F10</f>
        <v>29842.050000000017</v>
      </c>
      <c r="O10" s="53">
        <f t="shared" si="3"/>
        <v>-4592.4499999999825</v>
      </c>
      <c r="P10" s="56">
        <f aca="true" t="shared" si="5" ref="P10:P17">N10/M10*100</f>
        <v>86.66323019065186</v>
      </c>
      <c r="Q10" s="141">
        <f>N10-33294.7</f>
        <v>-3452.6499999999796</v>
      </c>
      <c r="R10" s="142">
        <f>N10/33294.7</f>
        <v>0.89630031206168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38045.89</v>
      </c>
      <c r="G33" s="49">
        <f aca="true" t="shared" si="14" ref="G33:G72">F33-E33</f>
        <v>-235.34000000000378</v>
      </c>
      <c r="H33" s="40">
        <f aca="true" t="shared" si="15" ref="H33:H67">F33/E33*100</f>
        <v>99.38523396453039</v>
      </c>
      <c r="I33" s="56">
        <f>F33-D33</f>
        <v>-55520.11</v>
      </c>
      <c r="J33" s="56">
        <f aca="true" t="shared" si="16" ref="J33:J72">F33/D33*100</f>
        <v>40.66208879293761</v>
      </c>
      <c r="K33" s="141">
        <f>F33-39969.9</f>
        <v>-1924.010000000002</v>
      </c>
      <c r="L33" s="142">
        <f>F33/39969.9</f>
        <v>0.9518635273042965</v>
      </c>
      <c r="M33" s="40">
        <f>E33-травень!E33</f>
        <v>6540.770000000004</v>
      </c>
      <c r="N33" s="40">
        <f>F33-травень!F33</f>
        <v>5341.380000000001</v>
      </c>
      <c r="O33" s="53">
        <f t="shared" si="3"/>
        <v>-1199.390000000003</v>
      </c>
      <c r="P33" s="56">
        <f aca="true" t="shared" si="17" ref="P33:P67">N33/M33*100</f>
        <v>81.66286232354902</v>
      </c>
      <c r="Q33" s="141">
        <f>N33-6504.1</f>
        <v>-1162.7199999999993</v>
      </c>
      <c r="R33" s="142">
        <f>N33/6504.1</f>
        <v>0.8212327608739104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28771.56</v>
      </c>
      <c r="G55" s="144">
        <f t="shared" si="14"/>
        <v>440.630000000001</v>
      </c>
      <c r="H55" s="146">
        <f t="shared" si="15"/>
        <v>101.55529663163195</v>
      </c>
      <c r="I55" s="145">
        <f t="shared" si="18"/>
        <v>-41494.44</v>
      </c>
      <c r="J55" s="145">
        <f t="shared" si="16"/>
        <v>40.946631372214156</v>
      </c>
      <c r="K55" s="148">
        <f>F55-28815.15</f>
        <v>-43.590000000000146</v>
      </c>
      <c r="L55" s="149">
        <f>F55/28815.15</f>
        <v>0.9984872541007075</v>
      </c>
      <c r="M55" s="40">
        <f>E55-травень!E55</f>
        <v>4780.77</v>
      </c>
      <c r="N55" s="40">
        <f>F55-травень!F55</f>
        <v>4233.380000000001</v>
      </c>
      <c r="O55" s="148">
        <f t="shared" si="3"/>
        <v>-547.3899999999994</v>
      </c>
      <c r="P55" s="148">
        <f t="shared" si="17"/>
        <v>88.55017078838766</v>
      </c>
      <c r="Q55" s="163">
        <f>N55-4583</f>
        <v>-349.619999999999</v>
      </c>
      <c r="R55" s="164">
        <f>N55/4583</f>
        <v>0.9237137246345191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0.36+3263.48</f>
        <v>3263.84</v>
      </c>
      <c r="G56" s="49">
        <f t="shared" si="14"/>
        <v>-134.46000000000004</v>
      </c>
      <c r="H56" s="40">
        <f t="shared" si="15"/>
        <v>96.04331577553482</v>
      </c>
      <c r="I56" s="56">
        <f t="shared" si="18"/>
        <v>-3596.16</v>
      </c>
      <c r="J56" s="56">
        <f t="shared" si="16"/>
        <v>47.57784256559767</v>
      </c>
      <c r="K56" s="56">
        <f>F56-3189.3</f>
        <v>74.53999999999996</v>
      </c>
      <c r="L56" s="135">
        <f>F56/3189.3</f>
        <v>1.0233718997899226</v>
      </c>
      <c r="M56" s="40">
        <f>E56-травень!E56</f>
        <v>609.2000000000003</v>
      </c>
      <c r="N56" s="40">
        <f>F56-травень!F56</f>
        <v>572.52</v>
      </c>
      <c r="O56" s="53">
        <f t="shared" si="3"/>
        <v>-36.68000000000029</v>
      </c>
      <c r="P56" s="56">
        <f t="shared" si="17"/>
        <v>93.97898883782004</v>
      </c>
      <c r="Q56" s="56">
        <f>N56-539.8</f>
        <v>32.72000000000003</v>
      </c>
      <c r="R56" s="135">
        <f>N56/539.8</f>
        <v>1.0606150426083736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6325.749999999999</v>
      </c>
      <c r="G74" s="50">
        <f aca="true" t="shared" si="24" ref="G74:G92">F74-E74</f>
        <v>-1102.750000000001</v>
      </c>
      <c r="H74" s="51">
        <f aca="true" t="shared" si="25" ref="H74:H87">F74/E74*100</f>
        <v>85.15514572255502</v>
      </c>
      <c r="I74" s="36">
        <f aca="true" t="shared" si="26" ref="I74:I92">F74-D74</f>
        <v>-12032.55</v>
      </c>
      <c r="J74" s="36">
        <f aca="true" t="shared" si="27" ref="J74:J92">F74/D74*100</f>
        <v>34.45716651323924</v>
      </c>
      <c r="K74" s="36">
        <f>F74-9149.2</f>
        <v>-2823.4500000000016</v>
      </c>
      <c r="L74" s="136">
        <f>F74/9149.2</f>
        <v>0.6913992480216848</v>
      </c>
      <c r="M74" s="22">
        <f>M77+M86+M88+M89+M94+M95+M96+M97+M99+M87+M103</f>
        <v>1500.5</v>
      </c>
      <c r="N74" s="22">
        <f>N77+N86+N88+N89+N94+N95+N96+N97+N99+N32+N103+N87</f>
        <v>977.4599999999999</v>
      </c>
      <c r="O74" s="55">
        <f aca="true" t="shared" si="28" ref="O74:O92">N74-M74</f>
        <v>-523.0400000000001</v>
      </c>
      <c r="P74" s="36">
        <f>N74/M74*100</f>
        <v>65.14228590469843</v>
      </c>
      <c r="Q74" s="36">
        <f>N74-1610.7</f>
        <v>-633.2400000000001</v>
      </c>
      <c r="R74" s="136">
        <f>N74/1610.7</f>
        <v>0.6068541627863661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60.92</v>
      </c>
      <c r="G89" s="49">
        <f t="shared" si="24"/>
        <v>-23.08</v>
      </c>
      <c r="H89" s="40">
        <f>F89/E89*100</f>
        <v>72.52380952380952</v>
      </c>
      <c r="I89" s="56">
        <f t="shared" si="26"/>
        <v>-114.08</v>
      </c>
      <c r="J89" s="56">
        <f t="shared" si="27"/>
        <v>34.81142857142857</v>
      </c>
      <c r="K89" s="56">
        <f>F89-81.2</f>
        <v>-20.28</v>
      </c>
      <c r="L89" s="135">
        <f>F89/81.2</f>
        <v>0.7502463054187192</v>
      </c>
      <c r="M89" s="40">
        <f>E89-травень!E89</f>
        <v>15</v>
      </c>
      <c r="N89" s="40">
        <f>F89-травень!F89</f>
        <v>13.829999999999998</v>
      </c>
      <c r="O89" s="53">
        <f t="shared" si="28"/>
        <v>-1.1700000000000017</v>
      </c>
      <c r="P89" s="56">
        <f>N89/M89*100</f>
        <v>92.19999999999999</v>
      </c>
      <c r="Q89" s="56">
        <f>N89-7.8</f>
        <v>6.0299999999999985</v>
      </c>
      <c r="R89" s="135">
        <f>N89/7.8</f>
        <v>1.773076923076923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414.49</v>
      </c>
      <c r="G96" s="49">
        <f t="shared" si="31"/>
        <v>-60.00999999999999</v>
      </c>
      <c r="H96" s="40">
        <f>F96/E96*100</f>
        <v>87.35300316122235</v>
      </c>
      <c r="I96" s="56">
        <f t="shared" si="32"/>
        <v>-785.51</v>
      </c>
      <c r="J96" s="56">
        <f>F96/D96*100</f>
        <v>34.54083333333333</v>
      </c>
      <c r="K96" s="56">
        <f>F96-463.2</f>
        <v>-48.70999999999998</v>
      </c>
      <c r="L96" s="135">
        <f>F96/463.2</f>
        <v>0.8948402417962004</v>
      </c>
      <c r="M96" s="40">
        <f>E96-травень!E96</f>
        <v>100</v>
      </c>
      <c r="N96" s="40">
        <f>F96-травень!F96</f>
        <v>63.50999999999999</v>
      </c>
      <c r="O96" s="53">
        <f t="shared" si="33"/>
        <v>-36.49000000000001</v>
      </c>
      <c r="P96" s="56">
        <f>N96/M96*100</f>
        <v>63.50999999999999</v>
      </c>
      <c r="Q96" s="56">
        <f>N96-89.2</f>
        <v>-25.690000000000012</v>
      </c>
      <c r="R96" s="135">
        <f>N96/89.2</f>
        <v>0.7119955156950671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1.36+1958.4</f>
        <v>1959.76</v>
      </c>
      <c r="G99" s="49">
        <f t="shared" si="31"/>
        <v>122.75999999999999</v>
      </c>
      <c r="H99" s="40">
        <f>F99/E99*100</f>
        <v>106.68263473053892</v>
      </c>
      <c r="I99" s="56">
        <f t="shared" si="32"/>
        <v>-2612.9399999999996</v>
      </c>
      <c r="J99" s="56">
        <f>F99/D99*100</f>
        <v>42.85783016598509</v>
      </c>
      <c r="K99" s="56">
        <f>F99-1991.7</f>
        <v>-31.940000000000055</v>
      </c>
      <c r="L99" s="135">
        <f>F99/1991.7</f>
        <v>0.9839634483104885</v>
      </c>
      <c r="M99" s="40">
        <f>E99-травень!E99</f>
        <v>330</v>
      </c>
      <c r="N99" s="40">
        <f>F99-травень!F99</f>
        <v>309.8299999999999</v>
      </c>
      <c r="O99" s="53">
        <f t="shared" si="33"/>
        <v>-20.170000000000073</v>
      </c>
      <c r="P99" s="56">
        <f>N99/M99*100</f>
        <v>93.88787878787876</v>
      </c>
      <c r="Q99" s="56">
        <f>N99-325.9</f>
        <v>-16.07000000000005</v>
      </c>
      <c r="R99" s="135">
        <f>N99/325.9</f>
        <v>0.9506903958269406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363.2</v>
      </c>
      <c r="G102" s="144"/>
      <c r="H102" s="146"/>
      <c r="I102" s="145"/>
      <c r="J102" s="145"/>
      <c r="K102" s="148">
        <f>F102-244.8</f>
        <v>118.39999999999998</v>
      </c>
      <c r="L102" s="149">
        <f>F102/244.8</f>
        <v>1.483660130718954</v>
      </c>
      <c r="M102" s="40">
        <f>E102-травень!E102</f>
        <v>0</v>
      </c>
      <c r="N102" s="40">
        <f>F102-травень!F102</f>
        <v>72</v>
      </c>
      <c r="O102" s="53"/>
      <c r="P102" s="60"/>
      <c r="Q102" s="60">
        <f>N102-60.1</f>
        <v>11.899999999999999</v>
      </c>
      <c r="R102" s="138">
        <f>N102/60.1</f>
        <v>1.1980033277870217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-53.14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12.36</v>
      </c>
      <c r="G104" s="49">
        <f>F104-E104</f>
        <v>-2.84</v>
      </c>
      <c r="H104" s="40">
        <f>F104/E104*100</f>
        <v>81.3157894736842</v>
      </c>
      <c r="I104" s="56">
        <f t="shared" si="34"/>
        <v>-32.64</v>
      </c>
      <c r="J104" s="56">
        <f aca="true" t="shared" si="36" ref="J104:J109">F104/D104*100</f>
        <v>27.46666666666667</v>
      </c>
      <c r="K104" s="56">
        <f>F104-13.4</f>
        <v>-1.040000000000001</v>
      </c>
      <c r="L104" s="135">
        <f>F104/13.4</f>
        <v>0.9223880597014925</v>
      </c>
      <c r="M104" s="40">
        <f>E104-травень!E104</f>
        <v>3</v>
      </c>
      <c r="N104" s="40">
        <f>F104-травень!F104</f>
        <v>0.6899999999999995</v>
      </c>
      <c r="O104" s="53">
        <f t="shared" si="35"/>
        <v>-2.3100000000000005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0.08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0.04</v>
      </c>
      <c r="O105" s="53">
        <f t="shared" si="35"/>
        <v>0.04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226560.39</v>
      </c>
      <c r="G106" s="50">
        <f>F106-E106</f>
        <v>-14149.839999999997</v>
      </c>
      <c r="H106" s="51">
        <f>F106/E106*100</f>
        <v>94.12162914721158</v>
      </c>
      <c r="I106" s="36">
        <f t="shared" si="34"/>
        <v>-280319.20999999996</v>
      </c>
      <c r="J106" s="36">
        <f t="shared" si="36"/>
        <v>44.69708191057601</v>
      </c>
      <c r="K106" s="36">
        <f>F106-237104</f>
        <v>-10543.609999999986</v>
      </c>
      <c r="L106" s="136">
        <f>F106/237104</f>
        <v>0.9555317076051016</v>
      </c>
      <c r="M106" s="22">
        <f>M8+M74+M104+M105</f>
        <v>43098.97</v>
      </c>
      <c r="N106" s="22">
        <f>N8+N74+N104+N105</f>
        <v>36395.190000000024</v>
      </c>
      <c r="O106" s="55">
        <f t="shared" si="35"/>
        <v>-6703.779999999977</v>
      </c>
      <c r="P106" s="36">
        <f>N106/M106*100</f>
        <v>84.44561436154976</v>
      </c>
      <c r="Q106" s="36">
        <f>N106-42414.8</f>
        <v>-6019.609999999979</v>
      </c>
      <c r="R106" s="136">
        <f>N106/42414.8</f>
        <v>0.8580776049869391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179016.69</v>
      </c>
      <c r="G107" s="71">
        <f>G10-G18+G96</f>
        <v>-12004.109999999977</v>
      </c>
      <c r="H107" s="72">
        <f>F107/E107*100</f>
        <v>93.71581000603076</v>
      </c>
      <c r="I107" s="52">
        <f t="shared" si="34"/>
        <v>-209196.51</v>
      </c>
      <c r="J107" s="52">
        <f t="shared" si="36"/>
        <v>46.11298379344134</v>
      </c>
      <c r="K107" s="52">
        <f>F107-179685.8</f>
        <v>-669.109999999986</v>
      </c>
      <c r="L107" s="137">
        <f>F107/179685.8</f>
        <v>0.996276222161128</v>
      </c>
      <c r="M107" s="71">
        <f>M10-M18+M96</f>
        <v>34534.5</v>
      </c>
      <c r="N107" s="71">
        <f>N10-N18+N96</f>
        <v>29905.560000000016</v>
      </c>
      <c r="O107" s="53">
        <f t="shared" si="35"/>
        <v>-4628.939999999984</v>
      </c>
      <c r="P107" s="52">
        <f>N107/M107*100</f>
        <v>86.59618642227342</v>
      </c>
      <c r="Q107" s="52">
        <f>N107-33396.9</f>
        <v>-3491.3399999999856</v>
      </c>
      <c r="R107" s="137">
        <f>N107/33396.9</f>
        <v>0.895459159383057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47543.70000000001</v>
      </c>
      <c r="G108" s="62">
        <f>F108-E108</f>
        <v>-2145.7300000000105</v>
      </c>
      <c r="H108" s="72">
        <f>F108/E108*100</f>
        <v>95.68171741957995</v>
      </c>
      <c r="I108" s="52">
        <f t="shared" si="34"/>
        <v>-71122.69999999995</v>
      </c>
      <c r="J108" s="52">
        <f t="shared" si="36"/>
        <v>40.06500576405792</v>
      </c>
      <c r="K108" s="52">
        <f>F108-57418.1</f>
        <v>-9874.399999999987</v>
      </c>
      <c r="L108" s="137">
        <f>F108/57418.1</f>
        <v>0.8280263540590861</v>
      </c>
      <c r="M108" s="71">
        <f>M106-M107</f>
        <v>8564.470000000001</v>
      </c>
      <c r="N108" s="71">
        <f>N106-N107</f>
        <v>6489.630000000008</v>
      </c>
      <c r="O108" s="53">
        <f t="shared" si="35"/>
        <v>-2074.839999999993</v>
      </c>
      <c r="P108" s="52">
        <f>N108/M108*100</f>
        <v>75.77386575001147</v>
      </c>
      <c r="Q108" s="52">
        <f>N108-9017.9</f>
        <v>-2528.2699999999913</v>
      </c>
      <c r="R108" s="137">
        <f>N108/9017.9</f>
        <v>0.7196387185486652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179016.69</v>
      </c>
      <c r="G109" s="111">
        <f>F109-E109</f>
        <v>-6634.209999999992</v>
      </c>
      <c r="H109" s="72">
        <f>F109/E109*100</f>
        <v>96.42651341846444</v>
      </c>
      <c r="I109" s="81">
        <f t="shared" si="34"/>
        <v>-209196.51</v>
      </c>
      <c r="J109" s="52">
        <f t="shared" si="36"/>
        <v>46.11298379344134</v>
      </c>
      <c r="K109" s="52"/>
      <c r="L109" s="137"/>
      <c r="M109" s="72">
        <f>E109-травень!E109</f>
        <v>34534.5</v>
      </c>
      <c r="N109" s="71">
        <f>N107</f>
        <v>29905.560000000016</v>
      </c>
      <c r="O109" s="118">
        <f t="shared" si="35"/>
        <v>-4628.939999999984</v>
      </c>
      <c r="P109" s="52">
        <f>N109/M109*100</f>
        <v>86.59618642227342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592.91</v>
      </c>
      <c r="G114" s="49">
        <f t="shared" si="37"/>
        <v>-1104.19</v>
      </c>
      <c r="H114" s="40">
        <f aca="true" t="shared" si="39" ref="H114:H125">F114/E114*100</f>
        <v>34.936656649578694</v>
      </c>
      <c r="I114" s="60">
        <f t="shared" si="38"/>
        <v>-3078.59</v>
      </c>
      <c r="J114" s="60">
        <f aca="true" t="shared" si="40" ref="J114:J120">F114/D114*100</f>
        <v>16.14898542829906</v>
      </c>
      <c r="K114" s="60">
        <f>F114-1891.5</f>
        <v>-1298.5900000000001</v>
      </c>
      <c r="L114" s="138">
        <f>F114/1891.5</f>
        <v>0.31346021675918584</v>
      </c>
      <c r="M114" s="40">
        <f>E114-травень!E114</f>
        <v>327.5</v>
      </c>
      <c r="N114" s="40">
        <f>F114-травень!F114</f>
        <v>93.14999999999998</v>
      </c>
      <c r="O114" s="53">
        <f aca="true" t="shared" si="41" ref="O114:O125">N114-M114</f>
        <v>-234.35000000000002</v>
      </c>
      <c r="P114" s="60">
        <f>N114/M114*100</f>
        <v>28.442748091603047</v>
      </c>
      <c r="Q114" s="60">
        <f>N114-276.6</f>
        <v>-183.45000000000005</v>
      </c>
      <c r="R114" s="138">
        <f>N114/276.6</f>
        <v>0.33676789587852485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165.47</v>
      </c>
      <c r="G115" s="49">
        <f t="shared" si="37"/>
        <v>30.97</v>
      </c>
      <c r="H115" s="40">
        <f t="shared" si="39"/>
        <v>123.02602230483271</v>
      </c>
      <c r="I115" s="60">
        <f t="shared" si="38"/>
        <v>-102.63000000000002</v>
      </c>
      <c r="J115" s="60">
        <f t="shared" si="40"/>
        <v>61.719507646400594</v>
      </c>
      <c r="K115" s="60">
        <f>F115-131.2</f>
        <v>34.27000000000001</v>
      </c>
      <c r="L115" s="138">
        <f>F115/131.2</f>
        <v>1.261204268292683</v>
      </c>
      <c r="M115" s="40">
        <f>E115-травень!E115</f>
        <v>22</v>
      </c>
      <c r="N115" s="40">
        <f>F115-травень!F115</f>
        <v>45.92999999999999</v>
      </c>
      <c r="O115" s="53">
        <f t="shared" si="41"/>
        <v>23.929999999999993</v>
      </c>
      <c r="P115" s="60">
        <f>N115/M115*100</f>
        <v>208.77272727272725</v>
      </c>
      <c r="Q115" s="60">
        <f>N115-25.8</f>
        <v>20.129999999999992</v>
      </c>
      <c r="R115" s="138">
        <f>N115/25.8</f>
        <v>1.7802325581395346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757.24</v>
      </c>
      <c r="G116" s="62">
        <f t="shared" si="37"/>
        <v>-1074.36</v>
      </c>
      <c r="H116" s="72">
        <f t="shared" si="39"/>
        <v>41.343088010482646</v>
      </c>
      <c r="I116" s="61">
        <f t="shared" si="38"/>
        <v>-3182.3599999999997</v>
      </c>
      <c r="J116" s="61">
        <f t="shared" si="40"/>
        <v>19.22124073510001</v>
      </c>
      <c r="K116" s="61">
        <f>F116-2030.5</f>
        <v>-1273.26</v>
      </c>
      <c r="L116" s="139">
        <f>F116/2030.5</f>
        <v>0.37293277517852746</v>
      </c>
      <c r="M116" s="62">
        <f>M114+M115+M113</f>
        <v>349.5</v>
      </c>
      <c r="N116" s="38">
        <f>SUM(N113:N115)</f>
        <v>139.07999999999998</v>
      </c>
      <c r="O116" s="61">
        <f t="shared" si="41"/>
        <v>-210.42000000000002</v>
      </c>
      <c r="P116" s="61">
        <f>N116/M116*100</f>
        <v>39.79399141630901</v>
      </c>
      <c r="Q116" s="61">
        <f>N116-303.5</f>
        <v>-164.42000000000002</v>
      </c>
      <c r="R116" s="139">
        <f>N116/303.5</f>
        <v>0.4582537067545304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137.05</v>
      </c>
      <c r="G118" s="49">
        <f t="shared" si="37"/>
        <v>27.55000000000001</v>
      </c>
      <c r="H118" s="40">
        <f t="shared" si="39"/>
        <v>125.15981735159818</v>
      </c>
      <c r="I118" s="60">
        <f t="shared" si="38"/>
        <v>-130.14999999999998</v>
      </c>
      <c r="J118" s="60">
        <f t="shared" si="40"/>
        <v>51.29116766467067</v>
      </c>
      <c r="K118" s="60">
        <f>F118-95.9</f>
        <v>41.150000000000006</v>
      </c>
      <c r="L118" s="138">
        <f>F118/95.9</f>
        <v>1.4290928050052139</v>
      </c>
      <c r="M118" s="40">
        <f>E118-травень!E118</f>
        <v>3</v>
      </c>
      <c r="N118" s="40">
        <f>F118-травень!F118</f>
        <v>7.300000000000011</v>
      </c>
      <c r="O118" s="53">
        <f>N118-M118</f>
        <v>4.300000000000011</v>
      </c>
      <c r="P118" s="60">
        <f>N118/M118*100</f>
        <v>243.3333333333337</v>
      </c>
      <c r="Q118" s="60">
        <f>N118-7.4</f>
        <v>-0.09999999999998899</v>
      </c>
      <c r="R118" s="138">
        <f>N118/7.4</f>
        <v>0.986486486486488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37924.98</v>
      </c>
      <c r="G119" s="49">
        <f t="shared" si="37"/>
        <v>3712.3800000000047</v>
      </c>
      <c r="H119" s="40">
        <f t="shared" si="39"/>
        <v>110.85091457533191</v>
      </c>
      <c r="I119" s="53">
        <f t="shared" si="38"/>
        <v>-34051.01</v>
      </c>
      <c r="J119" s="60">
        <f t="shared" si="40"/>
        <v>52.69115436967245</v>
      </c>
      <c r="K119" s="60">
        <f>F119-32510.8</f>
        <v>5414.180000000004</v>
      </c>
      <c r="L119" s="138">
        <f>F119/32510.8</f>
        <v>1.1665348130467414</v>
      </c>
      <c r="M119" s="40">
        <f>E119-травень!E119</f>
        <v>2600</v>
      </c>
      <c r="N119" s="40">
        <f>F119-травень!F119</f>
        <v>2750.760000000002</v>
      </c>
      <c r="O119" s="53">
        <f t="shared" si="41"/>
        <v>150.76000000000204</v>
      </c>
      <c r="P119" s="60">
        <f aca="true" t="shared" si="42" ref="P119:P124">N119/M119*100</f>
        <v>105.79846153846162</v>
      </c>
      <c r="Q119" s="60">
        <v>2488.2</v>
      </c>
      <c r="R119" s="138">
        <f>N119/2488.2</f>
        <v>1.1055220641427548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1658.94</v>
      </c>
      <c r="G120" s="49">
        <f t="shared" si="37"/>
        <v>-8.059999999999945</v>
      </c>
      <c r="H120" s="40">
        <f t="shared" si="39"/>
        <v>99.51649670065987</v>
      </c>
      <c r="I120" s="60">
        <f t="shared" si="38"/>
        <v>-8341.06</v>
      </c>
      <c r="J120" s="60">
        <f t="shared" si="40"/>
        <v>16.5894</v>
      </c>
      <c r="K120" s="60">
        <f>F120-624.6</f>
        <v>1034.3400000000001</v>
      </c>
      <c r="L120" s="138">
        <f>F120/624.6</f>
        <v>2.6560038424591736</v>
      </c>
      <c r="M120" s="40">
        <f>E120-травень!E120</f>
        <v>19</v>
      </c>
      <c r="N120" s="40">
        <f>F120-травень!F120</f>
        <v>47.00999999999999</v>
      </c>
      <c r="O120" s="53">
        <f t="shared" si="41"/>
        <v>28.00999999999999</v>
      </c>
      <c r="P120" s="60">
        <f t="shared" si="42"/>
        <v>247.4210526315789</v>
      </c>
      <c r="Q120" s="60">
        <f>N120-188.5</f>
        <v>-141.49</v>
      </c>
      <c r="R120" s="138">
        <f>N120/188.5</f>
        <v>0.24938992042440314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2101.85</v>
      </c>
      <c r="G121" s="49">
        <f t="shared" si="37"/>
        <v>-2720.7500000000005</v>
      </c>
      <c r="H121" s="40">
        <f t="shared" si="39"/>
        <v>43.583336789283784</v>
      </c>
      <c r="I121" s="60">
        <f t="shared" si="38"/>
        <v>-20976.15</v>
      </c>
      <c r="J121" s="60">
        <f>F121/D121*100</f>
        <v>9.107591645723199</v>
      </c>
      <c r="K121" s="60">
        <f>F121-13847.9</f>
        <v>-11746.05</v>
      </c>
      <c r="L121" s="138">
        <f>F121/13847.9</f>
        <v>0.15178113649000932</v>
      </c>
      <c r="M121" s="40">
        <f>E121-травень!E121</f>
        <v>1767.2000000000003</v>
      </c>
      <c r="N121" s="40">
        <f>F121-травень!F121</f>
        <v>31.09999999999991</v>
      </c>
      <c r="O121" s="53">
        <f t="shared" si="41"/>
        <v>-1736.1000000000004</v>
      </c>
      <c r="P121" s="60">
        <f t="shared" si="42"/>
        <v>1.7598460842009906</v>
      </c>
      <c r="Q121" s="60">
        <f>N121-6379.2</f>
        <v>-6348.1</v>
      </c>
      <c r="R121" s="138">
        <f>N121/6379.2</f>
        <v>0.004875219463255567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703.1</v>
      </c>
      <c r="G122" s="49">
        <f t="shared" si="37"/>
        <v>-159.35000000000002</v>
      </c>
      <c r="H122" s="40">
        <f t="shared" si="39"/>
        <v>81.52356658357006</v>
      </c>
      <c r="I122" s="60">
        <f t="shared" si="38"/>
        <v>-1296.9</v>
      </c>
      <c r="J122" s="60">
        <f>F122/D122*100</f>
        <v>35.155</v>
      </c>
      <c r="K122" s="60">
        <f>F122-1200</f>
        <v>-496.9</v>
      </c>
      <c r="L122" s="138">
        <f>F122/1200</f>
        <v>0.5859166666666666</v>
      </c>
      <c r="M122" s="40">
        <f>E122-травень!E122</f>
        <v>189.59000000000003</v>
      </c>
      <c r="N122" s="40">
        <f>F122-травень!F122</f>
        <v>2.310000000000059</v>
      </c>
      <c r="O122" s="53">
        <f t="shared" si="41"/>
        <v>-187.27999999999997</v>
      </c>
      <c r="P122" s="60">
        <f t="shared" si="42"/>
        <v>1.2184186929690695</v>
      </c>
      <c r="Q122" s="60">
        <f>N122-0</f>
        <v>2.310000000000059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42525.920000000006</v>
      </c>
      <c r="G123" s="62">
        <f t="shared" si="37"/>
        <v>851.7700000000114</v>
      </c>
      <c r="H123" s="72">
        <f t="shared" si="39"/>
        <v>102.04388091898697</v>
      </c>
      <c r="I123" s="61">
        <f t="shared" si="38"/>
        <v>-64795.27</v>
      </c>
      <c r="J123" s="61">
        <f>F123/D123*100</f>
        <v>39.62490538914077</v>
      </c>
      <c r="K123" s="61">
        <f>F123-48279.1</f>
        <v>-5753.179999999993</v>
      </c>
      <c r="L123" s="139">
        <f>F123/48279.1</f>
        <v>0.8808349782825282</v>
      </c>
      <c r="M123" s="62">
        <f>M119+M120+M121+M122+M118</f>
        <v>4578.790000000001</v>
      </c>
      <c r="N123" s="62">
        <f>N119+N120+N121+N122+N118</f>
        <v>2838.4800000000023</v>
      </c>
      <c r="O123" s="61">
        <f t="shared" si="41"/>
        <v>-1740.3099999999986</v>
      </c>
      <c r="P123" s="61">
        <f t="shared" si="42"/>
        <v>61.99192363047883</v>
      </c>
      <c r="Q123" s="61">
        <f>N123-9063.3</f>
        <v>-6224.819999999997</v>
      </c>
      <c r="R123" s="139">
        <f>N123/9063.3</f>
        <v>0.3131839396246403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12.71</v>
      </c>
      <c r="G124" s="49">
        <f t="shared" si="37"/>
        <v>-4.449999999999999</v>
      </c>
      <c r="H124" s="40">
        <f t="shared" si="39"/>
        <v>74.06759906759908</v>
      </c>
      <c r="I124" s="60">
        <f t="shared" si="38"/>
        <v>-30.79</v>
      </c>
      <c r="J124" s="60">
        <f>F124/D124*100</f>
        <v>29.218390804597703</v>
      </c>
      <c r="K124" s="60">
        <f>F124-100.8</f>
        <v>-88.09</v>
      </c>
      <c r="L124" s="138">
        <f>F124/100.8</f>
        <v>0.12609126984126987</v>
      </c>
      <c r="M124" s="40">
        <f>E124-травень!E124</f>
        <v>3</v>
      </c>
      <c r="N124" s="40">
        <f>F124-травень!F124</f>
        <v>2</v>
      </c>
      <c r="O124" s="53">
        <f t="shared" si="41"/>
        <v>-1</v>
      </c>
      <c r="P124" s="60">
        <f t="shared" si="42"/>
        <v>66.66666666666666</v>
      </c>
      <c r="Q124" s="60">
        <f>N124-1.6</f>
        <v>0.3999999999999999</v>
      </c>
      <c r="R124" s="138">
        <f>N124/1.6</f>
        <v>1.25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5295.56</v>
      </c>
      <c r="G127" s="49">
        <f aca="true" t="shared" si="43" ref="G127:G134">F127-E127</f>
        <v>283.0600000000004</v>
      </c>
      <c r="H127" s="40">
        <f>F127/E127*100</f>
        <v>105.64708229426434</v>
      </c>
      <c r="I127" s="60">
        <f aca="true" t="shared" si="44" ref="I127:I134">F127-D127</f>
        <v>-3404.4399999999996</v>
      </c>
      <c r="J127" s="60">
        <f>F127/D127*100</f>
        <v>60.86850574712644</v>
      </c>
      <c r="K127" s="60">
        <f>F127-6301.4</f>
        <v>-1005.8399999999992</v>
      </c>
      <c r="L127" s="138">
        <f>F127/6301.4</f>
        <v>0.840378328625385</v>
      </c>
      <c r="M127" s="40">
        <f>E127-травень!E127</f>
        <v>1</v>
      </c>
      <c r="N127" s="40">
        <f>F127-травень!F127</f>
        <v>2.7000000000007276</v>
      </c>
      <c r="O127" s="53">
        <f aca="true" t="shared" si="45" ref="O127:O134">N127-M127</f>
        <v>1.7000000000007276</v>
      </c>
      <c r="P127" s="60">
        <f>N127/M127*100</f>
        <v>270.00000000007276</v>
      </c>
      <c r="Q127" s="60">
        <f>N127-12.3</f>
        <v>-9.599999999999273</v>
      </c>
      <c r="R127" s="162">
        <f>N127/12.3</f>
        <v>0.21951219512201037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0.16</v>
      </c>
      <c r="G128" s="49">
        <f t="shared" si="43"/>
        <v>0.16</v>
      </c>
      <c r="H128" s="40"/>
      <c r="I128" s="60">
        <f t="shared" si="44"/>
        <v>0.16</v>
      </c>
      <c r="J128" s="60"/>
      <c r="K128" s="60">
        <f>F128-(-0.4)</f>
        <v>0.56</v>
      </c>
      <c r="L128" s="138">
        <f>F128/(-0.4)</f>
        <v>-0.39999999999999997</v>
      </c>
      <c r="M128" s="40">
        <f>E128-травень!E128</f>
        <v>0</v>
      </c>
      <c r="N128" s="40">
        <f>F128-травень!F128</f>
        <v>0.12</v>
      </c>
      <c r="O128" s="53">
        <f t="shared" si="45"/>
        <v>0.12</v>
      </c>
      <c r="P128" s="60"/>
      <c r="Q128" s="60">
        <f>N128-0.1</f>
        <v>0.01999999999999999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5326.1900000000005</v>
      </c>
      <c r="G129" s="62">
        <f t="shared" si="43"/>
        <v>289.33000000000084</v>
      </c>
      <c r="H129" s="72">
        <f>F129/E129*100</f>
        <v>105.74425336419915</v>
      </c>
      <c r="I129" s="61">
        <f t="shared" si="44"/>
        <v>-3424.51</v>
      </c>
      <c r="J129" s="61">
        <f>F129/D129*100</f>
        <v>60.865873587255884</v>
      </c>
      <c r="K129" s="61">
        <f>F129-6410.2</f>
        <v>-1084.0099999999993</v>
      </c>
      <c r="L129" s="139">
        <f>G129/6410.2</f>
        <v>0.04513587719571945</v>
      </c>
      <c r="M129" s="62">
        <f>M124+M127+M128+M126</f>
        <v>4</v>
      </c>
      <c r="N129" s="62">
        <f>N124+N127+N128+N126</f>
        <v>4.820000000000728</v>
      </c>
      <c r="O129" s="61">
        <f t="shared" si="45"/>
        <v>0.8200000000007277</v>
      </c>
      <c r="P129" s="61">
        <f>N129/M129*100</f>
        <v>120.50000000001819</v>
      </c>
      <c r="Q129" s="61">
        <f>N129-14</f>
        <v>-9.179999999999271</v>
      </c>
      <c r="R129" s="137">
        <f>N129/14</f>
        <v>0.34428571428576626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21.12</v>
      </c>
      <c r="G130" s="49">
        <f>F130-E130</f>
        <v>5.470000000000001</v>
      </c>
      <c r="H130" s="40">
        <f>F130/E130*100</f>
        <v>134.9520766773163</v>
      </c>
      <c r="I130" s="60">
        <f>F130-D130</f>
        <v>-8.879999999999999</v>
      </c>
      <c r="J130" s="60">
        <f>F130/D130*100</f>
        <v>70.4</v>
      </c>
      <c r="K130" s="60">
        <f>F130-16.8</f>
        <v>4.32</v>
      </c>
      <c r="L130" s="138">
        <f>F130/16.8</f>
        <v>1.2571428571428571</v>
      </c>
      <c r="M130" s="40">
        <f>E130-травень!E130</f>
        <v>7</v>
      </c>
      <c r="N130" s="40">
        <f>F130-травень!F130</f>
        <v>7.970000000000001</v>
      </c>
      <c r="O130" s="53">
        <f>N130-M130</f>
        <v>0.9700000000000006</v>
      </c>
      <c r="P130" s="60">
        <f>N130/M130*100</f>
        <v>113.85714285714286</v>
      </c>
      <c r="Q130" s="60">
        <f>N130-7.5</f>
        <v>0.47000000000000064</v>
      </c>
      <c r="R130" s="138">
        <f>N130/7.5</f>
        <v>1.0626666666666666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48630.47000000001</v>
      </c>
      <c r="G133" s="50">
        <f t="shared" si="43"/>
        <v>72.21000000001368</v>
      </c>
      <c r="H133" s="51">
        <f>F133/E133*100</f>
        <v>100.14870796441227</v>
      </c>
      <c r="I133" s="36">
        <f t="shared" si="44"/>
        <v>-71411.01999999999</v>
      </c>
      <c r="J133" s="36">
        <f>F133/D133*100</f>
        <v>40.51138485535294</v>
      </c>
      <c r="K133" s="36">
        <f>F133-56736.6</f>
        <v>-8106.12999999999</v>
      </c>
      <c r="L133" s="136">
        <f>F133/56736.6</f>
        <v>0.8571269691874382</v>
      </c>
      <c r="M133" s="31">
        <f>M116+M130+M123+M129+M132+M131</f>
        <v>4939.290000000001</v>
      </c>
      <c r="N133" s="31">
        <f>N116+N130+N123+N129+N132+N131</f>
        <v>2990.350000000003</v>
      </c>
      <c r="O133" s="36">
        <f t="shared" si="45"/>
        <v>-1948.9399999999978</v>
      </c>
      <c r="P133" s="36">
        <f>N133/M133*100</f>
        <v>60.542102204972835</v>
      </c>
      <c r="Q133" s="36">
        <f>N133-9388.2</f>
        <v>-6397.849999999998</v>
      </c>
      <c r="R133" s="136">
        <f>N133/9388.2</f>
        <v>0.3185221874267701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275190.86000000004</v>
      </c>
      <c r="G134" s="50">
        <f t="shared" si="43"/>
        <v>-14077.629999999946</v>
      </c>
      <c r="H134" s="51">
        <f>F134/E134*100</f>
        <v>95.13336900261761</v>
      </c>
      <c r="I134" s="36">
        <f t="shared" si="44"/>
        <v>-351730.2299999999</v>
      </c>
      <c r="J134" s="36">
        <f>F134/D134*100</f>
        <v>43.895613720699686</v>
      </c>
      <c r="K134" s="36">
        <f>F134-293840.6</f>
        <v>-18649.739999999932</v>
      </c>
      <c r="L134" s="136">
        <f>F134/293840.6</f>
        <v>0.9365310988338578</v>
      </c>
      <c r="M134" s="22">
        <f>M106+M133</f>
        <v>48038.26</v>
      </c>
      <c r="N134" s="22">
        <f>N106+N133</f>
        <v>39385.54000000003</v>
      </c>
      <c r="O134" s="36">
        <f t="shared" si="45"/>
        <v>-8652.719999999972</v>
      </c>
      <c r="P134" s="36">
        <f>N134/M134*100</f>
        <v>81.98785717884043</v>
      </c>
      <c r="Q134" s="36">
        <f>N134-51803</f>
        <v>-12417.45999999997</v>
      </c>
      <c r="R134" s="136">
        <f>N134/51803</f>
        <v>0.7602945775341202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</v>
      </c>
      <c r="D136" s="4" t="s">
        <v>118</v>
      </c>
    </row>
    <row r="137" spans="2:17" ht="31.5">
      <c r="B137" s="78" t="s">
        <v>154</v>
      </c>
      <c r="C137" s="39">
        <f>IF(O106&lt;0,ABS(O106/C136),0)</f>
        <v>6703.779999999977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41816</v>
      </c>
      <c r="D138" s="39">
        <v>4277.2</v>
      </c>
      <c r="N138" s="177"/>
      <c r="O138" s="177"/>
    </row>
    <row r="139" spans="3:15" ht="15.75">
      <c r="C139" s="120">
        <v>41815</v>
      </c>
      <c r="D139" s="39">
        <v>1877.7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41814</v>
      </c>
      <c r="D140" s="39">
        <v>1334.9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117803.46370000001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103978.24174000001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46853.75884999999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0" sqref="K11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46853.75884999999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2014-06-27T10:24:12Z</cp:lastPrinted>
  <dcterms:created xsi:type="dcterms:W3CDTF">2003-07-28T11:27:56Z</dcterms:created>
  <dcterms:modified xsi:type="dcterms:W3CDTF">2014-06-27T10:24:35Z</dcterms:modified>
  <cp:category/>
  <cp:version/>
  <cp:contentType/>
  <cp:contentStatus/>
</cp:coreProperties>
</file>